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kateb\Dropbox\ICS Big Guys\Q &amp; A sessions\Q &amp; A 6  Weight and Balance\"/>
    </mc:Choice>
  </mc:AlternateContent>
  <xr:revisionPtr revIDLastSave="0" documentId="8_{70ABC3A0-DC99-4FF5-9044-B42EE72E560E}" xr6:coauthVersionLast="47" xr6:coauthVersionMax="47" xr10:uidLastSave="{00000000-0000-0000-0000-000000000000}"/>
  <bookViews>
    <workbookView xWindow="57480" yWindow="-120" windowWidth="29040" windowHeight="15525" xr2:uid="{00000000-000D-0000-FFFF-FFFF00000000}"/>
  </bookViews>
  <sheets>
    <sheet name="PA-30 Twin Comanche"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1" l="1"/>
  <c r="E26" i="1" l="1"/>
  <c r="G26" i="1" s="1"/>
  <c r="E25" i="1"/>
  <c r="G25" i="1" s="1"/>
  <c r="E24" i="1"/>
  <c r="G24" i="1" s="1"/>
  <c r="G20" i="1"/>
  <c r="E12" i="1"/>
  <c r="J16" i="1"/>
  <c r="J15" i="1"/>
  <c r="E16" i="1"/>
  <c r="G16" i="1" s="1"/>
  <c r="E15" i="1"/>
  <c r="G15" i="1" s="1"/>
  <c r="E14" i="1"/>
  <c r="G14" i="1" s="1"/>
  <c r="G10" i="1"/>
  <c r="G9" i="1"/>
  <c r="G8" i="1"/>
  <c r="G7" i="1"/>
  <c r="G5" i="1"/>
  <c r="G12" i="1" l="1"/>
  <c r="G18" i="1" s="1"/>
  <c r="G22" i="1" s="1"/>
  <c r="E18" i="1"/>
  <c r="F12" i="1" l="1"/>
  <c r="H18" i="1"/>
  <c r="I18" i="1"/>
  <c r="F18" i="1"/>
  <c r="E22" i="1"/>
  <c r="I22" i="1" s="1"/>
  <c r="G28" i="1"/>
  <c r="J18" i="1" l="1"/>
  <c r="H22" i="1"/>
  <c r="E28" i="1"/>
  <c r="F22" i="1"/>
  <c r="H28" i="1" l="1"/>
  <c r="I28" i="1"/>
  <c r="J22" i="1"/>
  <c r="F28" i="1"/>
  <c r="J28" i="1" l="1"/>
</calcChain>
</file>

<file path=xl/sharedStrings.xml><?xml version="1.0" encoding="utf-8"?>
<sst xmlns="http://schemas.openxmlformats.org/spreadsheetml/2006/main" count="49" uniqueCount="45">
  <si>
    <t>Piper PA-30 Twin Comanche</t>
  </si>
  <si>
    <t>Engine Oil</t>
  </si>
  <si>
    <t>Item</t>
  </si>
  <si>
    <t>Arm</t>
  </si>
  <si>
    <t>Front Sdeat Passengers</t>
  </si>
  <si>
    <t>Basic Fuel - Inboard Tanks</t>
  </si>
  <si>
    <t>Outboard Fuel</t>
  </si>
  <si>
    <t>Fuel Tip Tanks</t>
  </si>
  <si>
    <t>Center Seat Passengers</t>
  </si>
  <si>
    <t>SN: 30-1 thru 30-589</t>
  </si>
  <si>
    <t>Baggage (X lbs max)</t>
  </si>
  <si>
    <t>5th and 6th seat passengers</t>
  </si>
  <si>
    <t>Basic Aircraft</t>
  </si>
  <si>
    <t>Gallons</t>
  </si>
  <si>
    <t>Weight</t>
  </si>
  <si>
    <t>Moment</t>
  </si>
  <si>
    <t>Basic Empty Weight</t>
  </si>
  <si>
    <t xml:space="preserve"> &lt;--- Includes unsuable fuel and oil</t>
  </si>
  <si>
    <t>Pilot and Front Seat</t>
  </si>
  <si>
    <t>Passengers Center Seat</t>
  </si>
  <si>
    <t>Passengers 5th and 6th Seat</t>
  </si>
  <si>
    <t>Baggage (200 or 250 lb capacity)</t>
  </si>
  <si>
    <t>Zero Fuel Condition</t>
  </si>
  <si>
    <t>SN: 30-590 - 30-2000</t>
  </si>
  <si>
    <t xml:space="preserve"> &lt;--- 200 or 250 lbs capacity</t>
  </si>
  <si>
    <t>Fuel Inboard Tanks (54 US gal)</t>
  </si>
  <si>
    <t>Fuel Outboard Tanks (30 US gal)</t>
  </si>
  <si>
    <t>Fuel Tip Tanks (30 US gal)</t>
  </si>
  <si>
    <t>Ramp Condition</t>
  </si>
  <si>
    <t>Startup, Taxi, Runup Allowance</t>
  </si>
  <si>
    <t>Takeoff Condition</t>
  </si>
  <si>
    <t>Landing Condition</t>
  </si>
  <si>
    <t>Fuel Burned in Flight Inboard</t>
  </si>
  <si>
    <t>Fuel Burned in Flight Outboard</t>
  </si>
  <si>
    <t>Fuel Burned in Flight Tip Tanks</t>
  </si>
  <si>
    <t>Basic</t>
  </si>
  <si>
    <t>Aircraft</t>
  </si>
  <si>
    <t>Cabin</t>
  </si>
  <si>
    <t>Load</t>
  </si>
  <si>
    <t>Fuel</t>
  </si>
  <si>
    <t>Used</t>
  </si>
  <si>
    <t>Fwd</t>
  </si>
  <si>
    <t>Aft</t>
  </si>
  <si>
    <t>CG Limits</t>
  </si>
  <si>
    <t xml:space="preserve"> &lt;--- Should usually be main tanks 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</si>
</sst>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color theme="1"/>
      <name val="Times New Roman"/>
      <family val="2"/>
    </font>
    <font>
      <b/>
      <sz val="12"/>
      <color theme="1"/>
      <name val="Times New Roman"/>
      <family val="1"/>
    </font>
    <font>
      <sz val="11"/>
      <color theme="1"/>
      <name val="Times New Roman"/>
      <family val="2"/>
    </font>
    <font>
      <b/>
      <sz val="11"/>
      <color theme="1"/>
      <name val="Times New Roman"/>
      <family val="1"/>
    </font>
    <font>
      <b/>
      <sz val="12"/>
      <color rgb="FFFF0000"/>
      <name val="Times New Roman"/>
      <family val="1"/>
    </font>
    <font>
      <b/>
      <i/>
      <sz val="18"/>
      <color theme="1"/>
      <name val="Times New Roman"/>
      <family val="1"/>
    </font>
    <font>
      <sz val="14"/>
      <color theme="1"/>
      <name val="Times New Roman"/>
      <family val="2"/>
    </font>
    <font>
      <b/>
      <sz val="14"/>
      <color rgb="FFFF0000"/>
      <name val="Times New Roman"/>
      <family val="2"/>
    </font>
    <font>
      <b/>
      <sz val="14"/>
      <color theme="0"/>
      <name val="Times New Roman"/>
      <family val="2"/>
    </font>
    <font>
      <sz val="14"/>
      <color theme="0"/>
      <name val="Times New Roman"/>
      <family val="2"/>
    </font>
  </fonts>
  <fills count="12">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medium">
        <color theme="9" tint="-0.24994659260841701"/>
      </top>
      <bottom style="medium">
        <color theme="9" tint="-0.24994659260841701"/>
      </bottom>
      <diagonal/>
    </border>
    <border>
      <left style="thin">
        <color theme="9" tint="-0.24994659260841701"/>
      </left>
      <right style="thin">
        <color theme="9" tint="-0.24994659260841701"/>
      </right>
      <top style="medium">
        <color theme="9" tint="-0.24994659260841701"/>
      </top>
      <bottom style="medium">
        <color theme="9" tint="-0.24994659260841701"/>
      </bottom>
      <diagonal/>
    </border>
    <border>
      <left style="thin">
        <color theme="9" tint="-0.24994659260841701"/>
      </left>
      <right style="medium">
        <color theme="9" tint="-0.24994659260841701"/>
      </right>
      <top style="medium">
        <color theme="9" tint="-0.24994659260841701"/>
      </top>
      <bottom style="medium">
        <color theme="9" tint="-0.2499465926084170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theme="9" tint="-0.24994659260841701"/>
      </left>
      <right style="thin">
        <color indexed="64"/>
      </right>
      <top style="thin">
        <color theme="1"/>
      </top>
      <bottom style="thin">
        <color theme="1"/>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theme="9" tint="-0.24994659260841701"/>
      </left>
      <right style="thin">
        <color indexed="64"/>
      </right>
      <top/>
      <bottom style="medium">
        <color theme="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theme="1"/>
      </bottom>
      <diagonal/>
    </border>
    <border>
      <left style="thin">
        <color theme="0"/>
      </left>
      <right style="thin">
        <color theme="0"/>
      </right>
      <top style="medium">
        <color indexed="64"/>
      </top>
      <bottom style="medium">
        <color indexed="64"/>
      </bottom>
      <diagonal/>
    </border>
    <border>
      <left/>
      <right style="thin">
        <color indexed="64"/>
      </right>
      <top style="thin">
        <color indexed="64"/>
      </top>
      <bottom style="medium">
        <color theme="1"/>
      </bottom>
      <diagonal/>
    </border>
  </borders>
  <cellStyleXfs count="1">
    <xf numFmtId="0" fontId="0" fillId="0" borderId="0"/>
  </cellStyleXfs>
  <cellXfs count="78">
    <xf numFmtId="0" fontId="0" fillId="0" borderId="0" xfId="0"/>
    <xf numFmtId="0" fontId="1" fillId="2" borderId="25" xfId="0" applyFont="1" applyFill="1" applyBorder="1"/>
    <xf numFmtId="4" fontId="0" fillId="2" borderId="29" xfId="0" applyNumberFormat="1" applyFill="1" applyBorder="1"/>
    <xf numFmtId="164" fontId="0" fillId="2" borderId="3" xfId="0" applyNumberFormat="1" applyFill="1" applyBorder="1"/>
    <xf numFmtId="164" fontId="0" fillId="2" borderId="4" xfId="0" applyNumberFormat="1" applyFill="1" applyBorder="1"/>
    <xf numFmtId="0" fontId="1" fillId="3" borderId="2" xfId="0" applyFont="1" applyFill="1" applyBorder="1" applyAlignment="1">
      <alignment horizontal="center"/>
    </xf>
    <xf numFmtId="0" fontId="1" fillId="3" borderId="3" xfId="0" applyFont="1" applyFill="1" applyBorder="1" applyAlignment="1">
      <alignment horizontal="center"/>
    </xf>
    <xf numFmtId="164" fontId="1" fillId="3" borderId="17" xfId="0" applyNumberFormat="1" applyFont="1" applyFill="1" applyBorder="1" applyAlignment="1">
      <alignment horizontal="center"/>
    </xf>
    <xf numFmtId="0" fontId="0" fillId="4" borderId="0" xfId="0" applyFill="1" applyAlignment="1">
      <alignment horizontal="center"/>
    </xf>
    <xf numFmtId="0" fontId="0" fillId="4" borderId="0" xfId="0" applyFill="1"/>
    <xf numFmtId="164" fontId="0" fillId="4" borderId="0" xfId="0" applyNumberFormat="1" applyFill="1"/>
    <xf numFmtId="0" fontId="1" fillId="4" borderId="0" xfId="0" applyFont="1" applyFill="1"/>
    <xf numFmtId="0" fontId="4" fillId="4" borderId="0" xfId="0" applyFont="1" applyFill="1"/>
    <xf numFmtId="0" fontId="1" fillId="5" borderId="35" xfId="0" applyFont="1" applyFill="1" applyBorder="1" applyAlignment="1">
      <alignment horizontal="center"/>
    </xf>
    <xf numFmtId="0" fontId="1" fillId="5" borderId="36" xfId="0" applyFont="1" applyFill="1" applyBorder="1" applyAlignment="1">
      <alignment horizontal="center"/>
    </xf>
    <xf numFmtId="0" fontId="1" fillId="5" borderId="37" xfId="0" applyFont="1" applyFill="1" applyBorder="1" applyAlignment="1">
      <alignment horizontal="center"/>
    </xf>
    <xf numFmtId="164" fontId="0" fillId="7" borderId="21" xfId="0" applyNumberFormat="1" applyFill="1" applyBorder="1" applyProtection="1">
      <protection locked="0"/>
    </xf>
    <xf numFmtId="164" fontId="0" fillId="7" borderId="22" xfId="0" applyNumberFormat="1" applyFill="1" applyBorder="1" applyProtection="1">
      <protection locked="0"/>
    </xf>
    <xf numFmtId="164" fontId="0" fillId="7" borderId="23" xfId="0" applyNumberFormat="1" applyFill="1" applyBorder="1" applyProtection="1">
      <protection locked="0"/>
    </xf>
    <xf numFmtId="164" fontId="0" fillId="7" borderId="18" xfId="0" applyNumberFormat="1" applyFill="1" applyBorder="1" applyProtection="1">
      <protection locked="0"/>
    </xf>
    <xf numFmtId="164" fontId="0" fillId="7" borderId="19" xfId="0" applyNumberFormat="1" applyFill="1" applyBorder="1" applyProtection="1">
      <protection locked="0"/>
    </xf>
    <xf numFmtId="164" fontId="0" fillId="7" borderId="20" xfId="0" applyNumberFormat="1" applyFill="1" applyBorder="1" applyProtection="1">
      <protection locked="0"/>
    </xf>
    <xf numFmtId="4" fontId="0" fillId="7" borderId="18" xfId="0" applyNumberFormat="1" applyFill="1" applyBorder="1" applyProtection="1">
      <protection locked="0"/>
    </xf>
    <xf numFmtId="4" fontId="0" fillId="7" borderId="19" xfId="0" applyNumberFormat="1" applyFill="1" applyBorder="1" applyProtection="1">
      <protection locked="0"/>
    </xf>
    <xf numFmtId="4" fontId="0" fillId="7" borderId="20" xfId="0" applyNumberFormat="1" applyFill="1" applyBorder="1" applyProtection="1">
      <protection locked="0"/>
    </xf>
    <xf numFmtId="4" fontId="0" fillId="6" borderId="26" xfId="0" applyNumberFormat="1" applyFill="1" applyBorder="1"/>
    <xf numFmtId="4" fontId="0" fillId="6" borderId="27" xfId="0" applyNumberFormat="1" applyFill="1" applyBorder="1"/>
    <xf numFmtId="4" fontId="0" fillId="6" borderId="28" xfId="0" applyNumberFormat="1" applyFill="1" applyBorder="1"/>
    <xf numFmtId="164" fontId="0" fillId="6" borderId="14" xfId="0" applyNumberFormat="1" applyFill="1" applyBorder="1"/>
    <xf numFmtId="164" fontId="0" fillId="6" borderId="6" xfId="0" applyNumberFormat="1" applyFill="1" applyBorder="1"/>
    <xf numFmtId="164" fontId="0" fillId="6" borderId="15" xfId="0" applyNumberFormat="1" applyFill="1" applyBorder="1"/>
    <xf numFmtId="164" fontId="0" fillId="6" borderId="7" xfId="0" applyNumberFormat="1" applyFill="1" applyBorder="1"/>
    <xf numFmtId="164" fontId="0" fillId="6" borderId="16" xfId="0" applyNumberFormat="1" applyFill="1" applyBorder="1"/>
    <xf numFmtId="164" fontId="0" fillId="6" borderId="9" xfId="0" applyNumberFormat="1" applyFill="1" applyBorder="1"/>
    <xf numFmtId="164" fontId="0" fillId="6" borderId="31" xfId="0" applyNumberFormat="1" applyFill="1" applyBorder="1"/>
    <xf numFmtId="164" fontId="0" fillId="6" borderId="5" xfId="0" applyNumberFormat="1" applyFill="1" applyBorder="1"/>
    <xf numFmtId="164" fontId="0" fillId="6" borderId="30" xfId="0" applyNumberFormat="1" applyFill="1" applyBorder="1"/>
    <xf numFmtId="164" fontId="0" fillId="6" borderId="1" xfId="0" applyNumberFormat="1" applyFill="1" applyBorder="1"/>
    <xf numFmtId="164" fontId="0" fillId="6" borderId="32" xfId="0" applyNumberFormat="1" applyFill="1" applyBorder="1"/>
    <xf numFmtId="164" fontId="0" fillId="6" borderId="8" xfId="0" applyNumberFormat="1" applyFill="1" applyBorder="1"/>
    <xf numFmtId="164" fontId="0" fillId="6" borderId="34" xfId="0" applyNumberFormat="1" applyFill="1" applyBorder="1"/>
    <xf numFmtId="0" fontId="1" fillId="9" borderId="35" xfId="0" applyFont="1" applyFill="1" applyBorder="1" applyAlignment="1">
      <alignment horizontal="center"/>
    </xf>
    <xf numFmtId="0" fontId="1" fillId="9" borderId="36" xfId="0" applyFont="1" applyFill="1" applyBorder="1" applyAlignment="1">
      <alignment horizontal="center"/>
    </xf>
    <xf numFmtId="164" fontId="1" fillId="3" borderId="38" xfId="0" applyNumberFormat="1" applyFont="1" applyFill="1" applyBorder="1" applyAlignment="1">
      <alignment horizontal="center"/>
    </xf>
    <xf numFmtId="4" fontId="0" fillId="8" borderId="40" xfId="0" applyNumberFormat="1" applyFill="1" applyBorder="1"/>
    <xf numFmtId="164" fontId="1" fillId="3" borderId="38" xfId="0" applyNumberFormat="1" applyFont="1" applyFill="1" applyBorder="1" applyAlignment="1">
      <alignment horizontal="centerContinuous"/>
    </xf>
    <xf numFmtId="164" fontId="1" fillId="3" borderId="41" xfId="0" applyNumberFormat="1" applyFont="1" applyFill="1" applyBorder="1" applyAlignment="1">
      <alignment horizontal="centerContinuous"/>
    </xf>
    <xf numFmtId="0" fontId="0" fillId="6" borderId="42" xfId="0" applyFill="1" applyBorder="1" applyAlignment="1">
      <alignment horizontal="center"/>
    </xf>
    <xf numFmtId="0" fontId="5" fillId="4" borderId="0" xfId="0" applyFont="1" applyFill="1"/>
    <xf numFmtId="0" fontId="1" fillId="8" borderId="39" xfId="0" applyFont="1" applyFill="1" applyBorder="1"/>
    <xf numFmtId="0" fontId="1" fillId="6" borderId="11" xfId="0" applyFont="1" applyFill="1" applyBorder="1"/>
    <xf numFmtId="0" fontId="1" fillId="6" borderId="12" xfId="0" applyFont="1" applyFill="1" applyBorder="1"/>
    <xf numFmtId="0" fontId="1" fillId="6" borderId="13" xfId="0" applyFont="1" applyFill="1" applyBorder="1"/>
    <xf numFmtId="0" fontId="1" fillId="6" borderId="25" xfId="0" applyFont="1" applyFill="1" applyBorder="1"/>
    <xf numFmtId="0" fontId="1" fillId="10" borderId="35" xfId="0" applyFont="1" applyFill="1" applyBorder="1" applyAlignment="1">
      <alignment horizontal="center"/>
    </xf>
    <xf numFmtId="0" fontId="1" fillId="10" borderId="37" xfId="0" applyFont="1" applyFill="1" applyBorder="1" applyAlignment="1">
      <alignment horizontal="center"/>
    </xf>
    <xf numFmtId="0" fontId="1" fillId="10" borderId="36" xfId="0" applyFont="1" applyFill="1" applyBorder="1" applyAlignment="1">
      <alignment horizontal="center"/>
    </xf>
    <xf numFmtId="0" fontId="2" fillId="4" borderId="0" xfId="0" applyFont="1" applyFill="1"/>
    <xf numFmtId="0" fontId="6" fillId="4" borderId="0" xfId="0" applyFont="1" applyFill="1" applyAlignment="1">
      <alignment horizontal="center"/>
    </xf>
    <xf numFmtId="0" fontId="7" fillId="4" borderId="0" xfId="0" applyFont="1" applyFill="1"/>
    <xf numFmtId="0" fontId="6" fillId="4" borderId="0" xfId="0" applyFont="1" applyFill="1"/>
    <xf numFmtId="0" fontId="8" fillId="11" borderId="25" xfId="0" applyFont="1" applyFill="1" applyBorder="1"/>
    <xf numFmtId="4" fontId="9" fillId="11" borderId="29" xfId="0" applyNumberFormat="1" applyFont="1" applyFill="1" applyBorder="1"/>
    <xf numFmtId="164" fontId="9" fillId="11" borderId="43" xfId="0" applyNumberFormat="1" applyFont="1" applyFill="1" applyBorder="1"/>
    <xf numFmtId="4" fontId="9" fillId="11" borderId="24" xfId="0" applyNumberFormat="1" applyFont="1" applyFill="1" applyBorder="1"/>
    <xf numFmtId="4" fontId="2" fillId="4" borderId="0" xfId="0" applyNumberFormat="1" applyFont="1" applyFill="1"/>
    <xf numFmtId="4" fontId="0" fillId="4" borderId="0" xfId="0" applyNumberFormat="1" applyFill="1"/>
    <xf numFmtId="0" fontId="2" fillId="7" borderId="1" xfId="0" applyFont="1" applyFill="1" applyBorder="1"/>
    <xf numFmtId="164" fontId="2" fillId="7" borderId="1" xfId="0" applyNumberFormat="1" applyFont="1" applyFill="1" applyBorder="1"/>
    <xf numFmtId="0" fontId="3" fillId="8" borderId="1" xfId="0" applyFont="1" applyFill="1" applyBorder="1" applyAlignment="1">
      <alignment horizontal="center"/>
    </xf>
    <xf numFmtId="4" fontId="3" fillId="8" borderId="1" xfId="0" applyNumberFormat="1" applyFont="1" applyFill="1" applyBorder="1" applyAlignment="1">
      <alignment horizontal="center"/>
    </xf>
    <xf numFmtId="0" fontId="0" fillId="6" borderId="44" xfId="0" applyFill="1" applyBorder="1" applyAlignment="1">
      <alignment horizontal="center"/>
    </xf>
    <xf numFmtId="164" fontId="0" fillId="6" borderId="24" xfId="0" applyNumberFormat="1" applyFill="1" applyBorder="1" applyProtection="1">
      <protection locked="0"/>
    </xf>
    <xf numFmtId="164" fontId="0" fillId="6" borderId="33" xfId="0" applyNumberFormat="1" applyFill="1" applyBorder="1" applyProtection="1">
      <protection locked="0"/>
    </xf>
    <xf numFmtId="164" fontId="0" fillId="7" borderId="10" xfId="0" applyNumberFormat="1" applyFill="1" applyBorder="1" applyProtection="1">
      <protection locked="0"/>
    </xf>
    <xf numFmtId="4" fontId="0" fillId="7" borderId="10" xfId="0" applyNumberFormat="1" applyFill="1" applyBorder="1" applyProtection="1">
      <protection locked="0"/>
    </xf>
    <xf numFmtId="164" fontId="9" fillId="11" borderId="43" xfId="0" applyNumberFormat="1" applyFont="1" applyFill="1" applyBorder="1" applyAlignment="1">
      <alignment horizontal="center"/>
    </xf>
    <xf numFmtId="164" fontId="9" fillId="11"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247649</xdr:colOff>
      <xdr:row>6</xdr:row>
      <xdr:rowOff>57150</xdr:rowOff>
    </xdr:from>
    <xdr:to>
      <xdr:col>7</xdr:col>
      <xdr:colOff>600074</xdr:colOff>
      <xdr:row>15</xdr:row>
      <xdr:rowOff>152400</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5991224" y="942975"/>
          <a:ext cx="352425" cy="1628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Forward</a:t>
          </a:r>
        </a:p>
      </xdr:txBody>
    </xdr:sp>
    <xdr:clientData/>
  </xdr:twoCellAnchor>
  <xdr:twoCellAnchor>
    <xdr:from>
      <xdr:col>8</xdr:col>
      <xdr:colOff>209549</xdr:colOff>
      <xdr:row>6</xdr:row>
      <xdr:rowOff>57150</xdr:rowOff>
    </xdr:from>
    <xdr:to>
      <xdr:col>8</xdr:col>
      <xdr:colOff>561974</xdr:colOff>
      <xdr:row>15</xdr:row>
      <xdr:rowOff>152400</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a:off x="6915149" y="942975"/>
          <a:ext cx="352425" cy="1628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Aft</a:t>
          </a:r>
        </a:p>
      </xdr:txBody>
    </xdr:sp>
    <xdr:clientData/>
  </xdr:twoCellAnchor>
  <xdr:twoCellAnchor>
    <xdr:from>
      <xdr:col>7</xdr:col>
      <xdr:colOff>247649</xdr:colOff>
      <xdr:row>22</xdr:row>
      <xdr:rowOff>28575</xdr:rowOff>
    </xdr:from>
    <xdr:to>
      <xdr:col>7</xdr:col>
      <xdr:colOff>600074</xdr:colOff>
      <xdr:row>27</xdr:row>
      <xdr:rowOff>28575</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5991224" y="3533775"/>
          <a:ext cx="352425" cy="723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Fwd</a:t>
          </a:r>
        </a:p>
      </xdr:txBody>
    </xdr:sp>
    <xdr:clientData/>
  </xdr:twoCellAnchor>
  <xdr:twoCellAnchor>
    <xdr:from>
      <xdr:col>8</xdr:col>
      <xdr:colOff>209549</xdr:colOff>
      <xdr:row>22</xdr:row>
      <xdr:rowOff>28575</xdr:rowOff>
    </xdr:from>
    <xdr:to>
      <xdr:col>8</xdr:col>
      <xdr:colOff>561974</xdr:colOff>
      <xdr:row>27</xdr:row>
      <xdr:rowOff>19050</xdr:rowOff>
    </xdr:to>
    <xdr:sp macro="" textlink="">
      <xdr:nvSpPr>
        <xdr:cNvPr id="5" name="Down Arrow 4">
          <a:extLst>
            <a:ext uri="{FF2B5EF4-FFF2-40B4-BE49-F238E27FC236}">
              <a16:creationId xmlns:a16="http://schemas.microsoft.com/office/drawing/2014/main" id="{00000000-0008-0000-0000-000005000000}"/>
            </a:ext>
          </a:extLst>
        </xdr:cNvPr>
        <xdr:cNvSpPr/>
      </xdr:nvSpPr>
      <xdr:spPr>
        <a:xfrm>
          <a:off x="6905624" y="3533775"/>
          <a:ext cx="352425" cy="7143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Aft</a:t>
          </a:r>
        </a:p>
      </xdr:txBody>
    </xdr:sp>
    <xdr:clientData/>
  </xdr:twoCellAnchor>
  <xdr:twoCellAnchor>
    <xdr:from>
      <xdr:col>9</xdr:col>
      <xdr:colOff>85725</xdr:colOff>
      <xdr:row>12</xdr:row>
      <xdr:rowOff>0</xdr:rowOff>
    </xdr:from>
    <xdr:to>
      <xdr:col>12</xdr:col>
      <xdr:colOff>485775</xdr:colOff>
      <xdr:row>15</xdr:row>
      <xdr:rowOff>9525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734300" y="1962150"/>
          <a:ext cx="2686050" cy="466725"/>
        </a:xfrm>
        <a:prstGeom prst="rect">
          <a:avLst/>
        </a:prstGeom>
        <a:solidFill>
          <a:schemeClr val="accent4">
            <a:lumMod val="20000"/>
            <a:lumOff val="80000"/>
          </a:schemeClr>
        </a:solidFill>
        <a:ln w="1905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Note</a:t>
          </a:r>
          <a:r>
            <a:rPr lang="en-US" sz="1200">
              <a:latin typeface="Times New Roman" panose="02020603050405020304" pitchFamily="18" charset="0"/>
              <a:cs typeface="Times New Roman" panose="02020603050405020304" pitchFamily="18" charset="0"/>
            </a:rPr>
            <a:t>: The CG limits are for the weight shown on the line.</a:t>
          </a:r>
        </a:p>
      </xdr:txBody>
    </xdr:sp>
    <xdr:clientData/>
  </xdr:twoCellAnchor>
  <xdr:twoCellAnchor>
    <xdr:from>
      <xdr:col>2</xdr:col>
      <xdr:colOff>1038225</xdr:colOff>
      <xdr:row>28</xdr:row>
      <xdr:rowOff>169069</xdr:rowOff>
    </xdr:from>
    <xdr:to>
      <xdr:col>5</xdr:col>
      <xdr:colOff>95250</xdr:colOff>
      <xdr:row>33</xdr:row>
      <xdr:rowOff>73819</xdr:rowOff>
    </xdr:to>
    <xdr:sp macro="" textlink="">
      <xdr:nvSpPr>
        <xdr:cNvPr id="8" name="Left Arrow 7">
          <a:extLst>
            <a:ext uri="{FF2B5EF4-FFF2-40B4-BE49-F238E27FC236}">
              <a16:creationId xmlns:a16="http://schemas.microsoft.com/office/drawing/2014/main" id="{00000000-0008-0000-0000-000008000000}"/>
            </a:ext>
          </a:extLst>
        </xdr:cNvPr>
        <xdr:cNvSpPr/>
      </xdr:nvSpPr>
      <xdr:spPr>
        <a:xfrm>
          <a:off x="1724025" y="4645819"/>
          <a:ext cx="2638425" cy="904875"/>
        </a:xfrm>
        <a:prstGeom prst="leftArrow">
          <a:avLst/>
        </a:prstGeom>
        <a:solidFill>
          <a:schemeClr val="accent3">
            <a:lumMod val="20000"/>
            <a:lumOff val="80000"/>
          </a:schemeClr>
        </a:solidFill>
        <a:ln w="190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chemeClr val="tx1"/>
              </a:solidFill>
              <a:latin typeface="Times New Roman" panose="02020603050405020304" pitchFamily="18" charset="0"/>
              <a:cs typeface="Times New Roman" panose="02020603050405020304" pitchFamily="18" charset="0"/>
            </a:rPr>
            <a:t>NOTE</a:t>
          </a:r>
          <a:r>
            <a:rPr lang="en-US" sz="1200">
              <a:solidFill>
                <a:schemeClr val="tx1"/>
              </a:solidFill>
              <a:latin typeface="Times New Roman" panose="02020603050405020304" pitchFamily="18" charset="0"/>
              <a:cs typeface="Times New Roman" panose="02020603050405020304" pitchFamily="18" charset="0"/>
            </a:rPr>
            <a:t>: Any weight above 3,600 lbs</a:t>
          </a:r>
        </a:p>
        <a:p>
          <a:pPr algn="l"/>
          <a:r>
            <a:rPr lang="en-US" sz="1200" baseline="0">
              <a:solidFill>
                <a:schemeClr val="tx1"/>
              </a:solidFill>
              <a:latin typeface="Times New Roman" panose="02020603050405020304" pitchFamily="18" charset="0"/>
              <a:cs typeface="Times New Roman" panose="02020603050405020304" pitchFamily="18" charset="0"/>
            </a:rPr>
            <a:t>            </a:t>
          </a:r>
          <a:r>
            <a:rPr lang="en-US" sz="1200">
              <a:solidFill>
                <a:schemeClr val="tx1"/>
              </a:solidFill>
              <a:latin typeface="Times New Roman" panose="02020603050405020304" pitchFamily="18" charset="0"/>
              <a:cs typeface="Times New Roman" panose="02020603050405020304" pitchFamily="18" charset="0"/>
            </a:rPr>
            <a:t>must be fuel in the tip tanks!</a:t>
          </a:r>
        </a:p>
      </xdr:txBody>
    </xdr:sp>
    <xdr:clientData/>
  </xdr:twoCellAnchor>
  <xdr:twoCellAnchor>
    <xdr:from>
      <xdr:col>6</xdr:col>
      <xdr:colOff>57150</xdr:colOff>
      <xdr:row>28</xdr:row>
      <xdr:rowOff>133351</xdr:rowOff>
    </xdr:from>
    <xdr:to>
      <xdr:col>12</xdr:col>
      <xdr:colOff>495300</xdr:colOff>
      <xdr:row>33</xdr:row>
      <xdr:rowOff>109537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019675" y="4610101"/>
          <a:ext cx="5219700" cy="976311"/>
        </a:xfrm>
        <a:prstGeom prst="rect">
          <a:avLst/>
        </a:prstGeom>
        <a:solidFill>
          <a:schemeClr val="accent4">
            <a:lumMod val="20000"/>
            <a:lumOff val="80000"/>
          </a:schemeClr>
        </a:solidFill>
        <a:ln w="19050"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Instructions</a:t>
          </a:r>
          <a:r>
            <a:rPr lang="en-US" sz="1200">
              <a:latin typeface="Times New Roman" panose="02020603050405020304" pitchFamily="18" charset="0"/>
              <a:cs typeface="Times New Roman" panose="02020603050405020304" pitchFamily="18" charset="0"/>
            </a:rPr>
            <a:t>: Inputs in </a:t>
          </a:r>
          <a:r>
            <a:rPr lang="en-US" sz="1200" b="1">
              <a:solidFill>
                <a:schemeClr val="accent6">
                  <a:lumMod val="75000"/>
                </a:schemeClr>
              </a:solidFill>
              <a:latin typeface="Times New Roman" panose="02020603050405020304" pitchFamily="18" charset="0"/>
              <a:cs typeface="Times New Roman" panose="02020603050405020304" pitchFamily="18" charset="0"/>
            </a:rPr>
            <a:t>CORAL</a:t>
          </a:r>
          <a:r>
            <a:rPr lang="en-US" sz="1200">
              <a:latin typeface="Times New Roman" panose="02020603050405020304" pitchFamily="18" charset="0"/>
              <a:cs typeface="Times New Roman" panose="02020603050405020304" pitchFamily="18" charset="0"/>
            </a:rPr>
            <a:t> border. Data entry cells have a white background. Enter the basic data for</a:t>
          </a:r>
          <a:r>
            <a:rPr lang="en-US" sz="1200" baseline="0">
              <a:latin typeface="Times New Roman" panose="02020603050405020304" pitchFamily="18" charset="0"/>
              <a:cs typeface="Times New Roman" panose="02020603050405020304" pitchFamily="18" charset="0"/>
            </a:rPr>
            <a:t> YOUR airplane at the top. Enter your cabin load, fuel load, startup allowance, and fuel burn. The weight abd balance is calculated abnd display along with any warnings. CG limits are calculated for the weights shown on the Ramp. Takeoff, and Landing lines.</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3</xdr:col>
      <xdr:colOff>180974</xdr:colOff>
      <xdr:row>4</xdr:row>
      <xdr:rowOff>9526</xdr:rowOff>
    </xdr:from>
    <xdr:to>
      <xdr:col>3</xdr:col>
      <xdr:colOff>533399</xdr:colOff>
      <xdr:row>13</xdr:row>
      <xdr:rowOff>1</xdr:rowOff>
    </xdr:to>
    <xdr:sp macro="" textlink="">
      <xdr:nvSpPr>
        <xdr:cNvPr id="12" name="Down Arrow 11">
          <a:extLst>
            <a:ext uri="{FF2B5EF4-FFF2-40B4-BE49-F238E27FC236}">
              <a16:creationId xmlns:a16="http://schemas.microsoft.com/office/drawing/2014/main" id="{00000000-0008-0000-0000-00000C000000}"/>
            </a:ext>
          </a:extLst>
        </xdr:cNvPr>
        <xdr:cNvSpPr/>
      </xdr:nvSpPr>
      <xdr:spPr>
        <a:xfrm>
          <a:off x="3067049" y="628651"/>
          <a:ext cx="352425" cy="1390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214314</xdr:colOff>
      <xdr:row>11</xdr:row>
      <xdr:rowOff>33337</xdr:rowOff>
    </xdr:from>
    <xdr:to>
      <xdr:col>4</xdr:col>
      <xdr:colOff>171452</xdr:colOff>
      <xdr:row>12</xdr:row>
      <xdr:rowOff>152399</xdr:rowOff>
    </xdr:to>
    <xdr:sp macro="" textlink="">
      <xdr:nvSpPr>
        <xdr:cNvPr id="3" name="Bent Arrow 2">
          <a:extLst>
            <a:ext uri="{FF2B5EF4-FFF2-40B4-BE49-F238E27FC236}">
              <a16:creationId xmlns:a16="http://schemas.microsoft.com/office/drawing/2014/main" id="{00000000-0008-0000-0100-000003000000}"/>
            </a:ext>
          </a:extLst>
        </xdr:cNvPr>
        <xdr:cNvSpPr/>
      </xdr:nvSpPr>
      <xdr:spPr>
        <a:xfrm rot="16200000">
          <a:off x="2895602" y="2190749"/>
          <a:ext cx="319087" cy="404813"/>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252416</xdr:colOff>
      <xdr:row>11</xdr:row>
      <xdr:rowOff>33337</xdr:rowOff>
    </xdr:from>
    <xdr:to>
      <xdr:col>4</xdr:col>
      <xdr:colOff>180978</xdr:colOff>
      <xdr:row>13</xdr:row>
      <xdr:rowOff>190499</xdr:rowOff>
    </xdr:to>
    <xdr:sp macro="" textlink="">
      <xdr:nvSpPr>
        <xdr:cNvPr id="4" name="Bent Arrow 3">
          <a:extLst>
            <a:ext uri="{FF2B5EF4-FFF2-40B4-BE49-F238E27FC236}">
              <a16:creationId xmlns:a16="http://schemas.microsoft.com/office/drawing/2014/main" id="{00000000-0008-0000-0100-000004000000}"/>
            </a:ext>
          </a:extLst>
        </xdr:cNvPr>
        <xdr:cNvSpPr/>
      </xdr:nvSpPr>
      <xdr:spPr>
        <a:xfrm rot="16200000">
          <a:off x="2557466" y="2081212"/>
          <a:ext cx="557212" cy="8620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8"/>
  <sheetViews>
    <sheetView showGridLines="0" tabSelected="1" workbookViewId="0">
      <selection activeCell="F6" sqref="F6"/>
    </sheetView>
  </sheetViews>
  <sheetFormatPr defaultColWidth="9" defaultRowHeight="15.75" x14ac:dyDescent="0.75"/>
  <cols>
    <col min="1" max="1" width="1.625" style="9" customWidth="1"/>
    <col min="2" max="2" width="7.375" style="8" bestFit="1" customWidth="1"/>
    <col min="3" max="3" width="28.875" style="9" bestFit="1" customWidth="1"/>
    <col min="4" max="4" width="9" style="9"/>
    <col min="5" max="6" width="9.125" style="10" bestFit="1" customWidth="1"/>
    <col min="7" max="7" width="10.25" style="10" bestFit="1" customWidth="1"/>
    <col min="8" max="9" width="12.5" style="10" customWidth="1"/>
    <col min="10" max="10" width="12" style="9" customWidth="1"/>
    <col min="11" max="16384" width="9" style="9"/>
  </cols>
  <sheetData>
    <row r="1" spans="2:10" ht="5.15" customHeight="1" x14ac:dyDescent="0.75"/>
    <row r="2" spans="2:10" ht="22.75" x14ac:dyDescent="0.95">
      <c r="B2" s="48" t="s">
        <v>0</v>
      </c>
    </row>
    <row r="3" spans="2:10" ht="5.15" customHeight="1" thickBot="1" x14ac:dyDescent="0.9"/>
    <row r="4" spans="2:10" ht="16.5" thickBot="1" x14ac:dyDescent="0.9">
      <c r="B4" s="41" t="s">
        <v>35</v>
      </c>
      <c r="C4" s="5" t="s">
        <v>12</v>
      </c>
      <c r="D4" s="6" t="s">
        <v>13</v>
      </c>
      <c r="E4" s="7" t="s">
        <v>14</v>
      </c>
      <c r="F4" s="7" t="s">
        <v>3</v>
      </c>
      <c r="G4" s="43" t="s">
        <v>15</v>
      </c>
      <c r="H4" s="45" t="s">
        <v>43</v>
      </c>
      <c r="I4" s="46"/>
    </row>
    <row r="5" spans="2:10" ht="16.5" thickBot="1" x14ac:dyDescent="0.9">
      <c r="B5" s="42" t="s">
        <v>36</v>
      </c>
      <c r="C5" s="49" t="s">
        <v>16</v>
      </c>
      <c r="D5" s="44"/>
      <c r="E5" s="16">
        <v>2464.75</v>
      </c>
      <c r="F5" s="17">
        <v>83.22</v>
      </c>
      <c r="G5" s="18">
        <f>F5*E5</f>
        <v>205116.495</v>
      </c>
      <c r="H5" s="71" t="s">
        <v>41</v>
      </c>
      <c r="I5" s="47" t="s">
        <v>42</v>
      </c>
      <c r="J5" s="11" t="s">
        <v>17</v>
      </c>
    </row>
    <row r="6" spans="2:10" ht="5.15" customHeight="1" thickBot="1" x14ac:dyDescent="0.9"/>
    <row r="7" spans="2:10" x14ac:dyDescent="0.75">
      <c r="B7" s="54" t="s">
        <v>37</v>
      </c>
      <c r="C7" s="50" t="s">
        <v>18</v>
      </c>
      <c r="D7" s="25"/>
      <c r="E7" s="19">
        <v>400</v>
      </c>
      <c r="F7" s="28">
        <v>84.8</v>
      </c>
      <c r="G7" s="29">
        <f>F7*E7</f>
        <v>33920</v>
      </c>
    </row>
    <row r="8" spans="2:10" x14ac:dyDescent="0.75">
      <c r="B8" s="55" t="s">
        <v>38</v>
      </c>
      <c r="C8" s="51" t="s">
        <v>19</v>
      </c>
      <c r="D8" s="26"/>
      <c r="E8" s="20">
        <v>160</v>
      </c>
      <c r="F8" s="30">
        <v>120.5</v>
      </c>
      <c r="G8" s="31">
        <f t="shared" ref="G8:G10" si="0">F8*E8</f>
        <v>19280</v>
      </c>
    </row>
    <row r="9" spans="2:10" x14ac:dyDescent="0.75">
      <c r="B9" s="55"/>
      <c r="C9" s="51" t="s">
        <v>20</v>
      </c>
      <c r="D9" s="26"/>
      <c r="E9" s="20"/>
      <c r="F9" s="30">
        <v>148.5</v>
      </c>
      <c r="G9" s="31">
        <f t="shared" si="0"/>
        <v>0</v>
      </c>
    </row>
    <row r="10" spans="2:10" ht="16.5" thickBot="1" x14ac:dyDescent="0.9">
      <c r="B10" s="56"/>
      <c r="C10" s="52" t="s">
        <v>21</v>
      </c>
      <c r="D10" s="27"/>
      <c r="E10" s="21">
        <v>100.5</v>
      </c>
      <c r="F10" s="32">
        <v>142</v>
      </c>
      <c r="G10" s="33">
        <f t="shared" si="0"/>
        <v>14271</v>
      </c>
      <c r="J10" s="11" t="s">
        <v>24</v>
      </c>
    </row>
    <row r="11" spans="2:10" ht="5.15" customHeight="1" thickBot="1" x14ac:dyDescent="0.9"/>
    <row r="12" spans="2:10" ht="16.5" thickBot="1" x14ac:dyDescent="0.9">
      <c r="C12" s="1" t="s">
        <v>22</v>
      </c>
      <c r="D12" s="2"/>
      <c r="E12" s="3">
        <f>SUM(E7:E10)+E5</f>
        <v>3125.25</v>
      </c>
      <c r="F12" s="3">
        <f>G12/E12</f>
        <v>87.22102071834253</v>
      </c>
      <c r="G12" s="4">
        <f>SUM(G7:G10)+G5</f>
        <v>272587.495</v>
      </c>
    </row>
    <row r="13" spans="2:10" ht="5.15" customHeight="1" thickBot="1" x14ac:dyDescent="0.9"/>
    <row r="14" spans="2:10" x14ac:dyDescent="0.75">
      <c r="B14" s="54" t="s">
        <v>39</v>
      </c>
      <c r="C14" s="50" t="s">
        <v>25</v>
      </c>
      <c r="D14" s="22">
        <v>54</v>
      </c>
      <c r="E14" s="34">
        <f>D14*6.01</f>
        <v>324.53999999999996</v>
      </c>
      <c r="F14" s="35">
        <v>90</v>
      </c>
      <c r="G14" s="29">
        <f>F14*E14</f>
        <v>29208.6</v>
      </c>
      <c r="J14" s="12"/>
    </row>
    <row r="15" spans="2:10" x14ac:dyDescent="0.75">
      <c r="B15" s="55" t="s">
        <v>38</v>
      </c>
      <c r="C15" s="51" t="s">
        <v>26</v>
      </c>
      <c r="D15" s="23">
        <v>25</v>
      </c>
      <c r="E15" s="36">
        <f>D15*6.01</f>
        <v>150.25</v>
      </c>
      <c r="F15" s="37">
        <v>95</v>
      </c>
      <c r="G15" s="31">
        <f t="shared" ref="G15:G16" si="1">F15*E15</f>
        <v>14273.75</v>
      </c>
      <c r="J15" s="12" t="str">
        <f>IF(D15&gt;30, " &lt;--- Error! 30 gal Max!","")</f>
        <v/>
      </c>
    </row>
    <row r="16" spans="2:10" ht="16.5" thickBot="1" x14ac:dyDescent="0.9">
      <c r="B16" s="56"/>
      <c r="C16" s="52" t="s">
        <v>27</v>
      </c>
      <c r="D16" s="24">
        <v>0</v>
      </c>
      <c r="E16" s="38">
        <f>D16*6.01</f>
        <v>0</v>
      </c>
      <c r="F16" s="39">
        <v>90.5</v>
      </c>
      <c r="G16" s="33">
        <f t="shared" si="1"/>
        <v>0</v>
      </c>
      <c r="J16" s="12" t="str">
        <f>IF(D16&gt;30, " &lt;--- Error! 30 gal Max!","")</f>
        <v/>
      </c>
    </row>
    <row r="17" spans="2:10" ht="5.15" customHeight="1" thickBot="1" x14ac:dyDescent="0.9">
      <c r="E17" s="9"/>
      <c r="F17" s="9"/>
      <c r="G17" s="9"/>
      <c r="H17" s="9"/>
      <c r="I17" s="9"/>
    </row>
    <row r="18" spans="2:10" s="60" customFormat="1" ht="19" thickBot="1" x14ac:dyDescent="1">
      <c r="B18" s="58"/>
      <c r="C18" s="61" t="s">
        <v>28</v>
      </c>
      <c r="D18" s="62"/>
      <c r="E18" s="63">
        <f>E12+SUM(E14:E16)</f>
        <v>3600.04</v>
      </c>
      <c r="F18" s="63">
        <f>G18/E18</f>
        <v>87.796203653292736</v>
      </c>
      <c r="G18" s="63">
        <f>G12+SUM(G14:G16)</f>
        <v>316069.84499999997</v>
      </c>
      <c r="H18" s="76">
        <f>IF(E18&lt;=2450,81,IF(E18&lt;=3200,(E18+27925)/375,IF(E18&lt;3725,(E18+6285.71428571429)/114.285714285714,"Overweight!")))</f>
        <v>86.500350000000267</v>
      </c>
      <c r="I18" s="77">
        <f>IF(E18&lt;=3600,92,IF(E18&lt;=3725,(E18-22766.6666666668)/-208.333333333335,"Overweight!"))</f>
        <v>91.999807999999902</v>
      </c>
      <c r="J18" s="59" t="str">
        <f>IF(F18&lt;H18," &lt;--- Out of CG Forward!",IF(F18&gt;I18," &lt;--- Out of CG Aft!"," &lt;--- CG OK"))</f>
        <v xml:space="preserve"> &lt;--- CG OK</v>
      </c>
    </row>
    <row r="19" spans="2:10" ht="5.15" customHeight="1" thickBot="1" x14ac:dyDescent="0.9">
      <c r="E19" s="9"/>
      <c r="F19" s="9"/>
      <c r="G19" s="9"/>
      <c r="H19" s="9"/>
      <c r="I19" s="9"/>
    </row>
    <row r="20" spans="2:10" ht="16.5" thickBot="1" x14ac:dyDescent="0.9">
      <c r="C20" s="53" t="s">
        <v>29</v>
      </c>
      <c r="D20" s="75">
        <v>3</v>
      </c>
      <c r="E20" s="72">
        <f>6.01*D20</f>
        <v>18.03</v>
      </c>
      <c r="F20" s="74">
        <v>90</v>
      </c>
      <c r="G20" s="73">
        <f>F20*E20</f>
        <v>1622.7</v>
      </c>
      <c r="H20" s="11" t="s">
        <v>44</v>
      </c>
      <c r="I20" s="9"/>
    </row>
    <row r="21" spans="2:10" ht="5.15" customHeight="1" thickBot="1" x14ac:dyDescent="0.9"/>
    <row r="22" spans="2:10" s="60" customFormat="1" ht="19" thickBot="1" x14ac:dyDescent="1">
      <c r="B22" s="58"/>
      <c r="C22" s="61" t="s">
        <v>30</v>
      </c>
      <c r="D22" s="62"/>
      <c r="E22" s="63">
        <f>E18-E20</f>
        <v>3582.0099999999998</v>
      </c>
      <c r="F22" s="63">
        <f>G22/E22</f>
        <v>87.785110873503982</v>
      </c>
      <c r="G22" s="63">
        <f>G18-G20</f>
        <v>314447.14499999996</v>
      </c>
      <c r="H22" s="76">
        <f>IF(E22&lt;=2450,81,IF(E22&lt;=3200,(E22+27925)/375,IF(E22&lt;3725,(E22+6285.71428571429)/114.285714285714,"Overweight!")))</f>
        <v>86.342587500000263</v>
      </c>
      <c r="I22" s="77">
        <f>IF(E22&lt;=3600,92,IF(E22&lt;=3725,(E22-22766.6666666668)/-208.333333333335,"Overweight!"))</f>
        <v>92</v>
      </c>
      <c r="J22" s="59" t="str">
        <f>IF(F22&lt;H22," &lt;--- Out of CG Forward!",IF(F22&gt;I22," &lt;--- Out of CG Aft!"," &lt;--- CG OK"))</f>
        <v xml:space="preserve"> &lt;--- CG OK</v>
      </c>
    </row>
    <row r="23" spans="2:10" ht="5.15" customHeight="1" thickBot="1" x14ac:dyDescent="0.9"/>
    <row r="24" spans="2:10" x14ac:dyDescent="0.75">
      <c r="B24" s="13" t="s">
        <v>39</v>
      </c>
      <c r="C24" s="50" t="s">
        <v>32</v>
      </c>
      <c r="D24" s="22">
        <v>40</v>
      </c>
      <c r="E24" s="34">
        <f>6.01*D24</f>
        <v>240.39999999999998</v>
      </c>
      <c r="F24" s="35">
        <v>90</v>
      </c>
      <c r="G24" s="29">
        <f>F24*E24</f>
        <v>21635.999999999996</v>
      </c>
      <c r="H24" s="9"/>
      <c r="I24" s="9"/>
    </row>
    <row r="25" spans="2:10" x14ac:dyDescent="0.75">
      <c r="B25" s="15" t="s">
        <v>40</v>
      </c>
      <c r="C25" s="51" t="s">
        <v>33</v>
      </c>
      <c r="D25" s="23">
        <v>30</v>
      </c>
      <c r="E25" s="36">
        <f>6.01*D25</f>
        <v>180.29999999999998</v>
      </c>
      <c r="F25" s="37">
        <v>95</v>
      </c>
      <c r="G25" s="31">
        <f t="shared" ref="G25:G26" si="2">F25*E25</f>
        <v>17128.5</v>
      </c>
      <c r="H25" s="9"/>
      <c r="I25" s="9"/>
    </row>
    <row r="26" spans="2:10" ht="16.5" thickBot="1" x14ac:dyDescent="0.9">
      <c r="B26" s="14"/>
      <c r="C26" s="52" t="s">
        <v>34</v>
      </c>
      <c r="D26" s="24">
        <v>0</v>
      </c>
      <c r="E26" s="40">
        <f>6.01*D26</f>
        <v>0</v>
      </c>
      <c r="F26" s="39">
        <v>90.5</v>
      </c>
      <c r="G26" s="33">
        <f t="shared" si="2"/>
        <v>0</v>
      </c>
      <c r="H26" s="9"/>
      <c r="I26" s="9"/>
    </row>
    <row r="27" spans="2:10" ht="5.15" customHeight="1" thickBot="1" x14ac:dyDescent="0.9"/>
    <row r="28" spans="2:10" s="60" customFormat="1" ht="19" thickBot="1" x14ac:dyDescent="1">
      <c r="B28" s="58"/>
      <c r="C28" s="61" t="s">
        <v>31</v>
      </c>
      <c r="D28" s="64"/>
      <c r="E28" s="63">
        <f>E22-SUM(E24:E26)</f>
        <v>3161.31</v>
      </c>
      <c r="F28" s="63">
        <f>G28/E28</f>
        <v>87.205191835030405</v>
      </c>
      <c r="G28" s="63">
        <f>G22-SUM(G24:G26)</f>
        <v>275682.64499999996</v>
      </c>
      <c r="H28" s="76">
        <f>IF(E28&lt;=2450,81,IF(E28&lt;=3200,(E28+27925)/375,IF(E28&lt;3725,(E28+6285.71428571429)/114.285714285714,"Overweight!")))</f>
        <v>82.896826666666669</v>
      </c>
      <c r="I28" s="77">
        <f>IF(E28&lt;=3600,92,IF(E28&lt;=3725,(E28-22766.6666666668)/-208.333333333335,"Overweight!"))</f>
        <v>92</v>
      </c>
      <c r="J28" s="59" t="str">
        <f>IF(F28&lt;H28," &lt;--- Out of CG Forward!",IF(F28&gt;I28," &lt;--- Out of CG Aft!"," &lt;--- CG OK"))</f>
        <v xml:space="preserve"> &lt;--- CG OK</v>
      </c>
    </row>
  </sheetData>
  <sheetProtection sheet="1" objects="1" scenarios="1"/>
  <pageMargins left="0.7" right="0.7" top="0.75" bottom="0.75" header="0.3" footer="0.3"/>
  <ignoredErrors>
    <ignoredError sqref="G2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14"/>
  <sheetViews>
    <sheetView showGridLines="0" workbookViewId="0">
      <selection activeCell="D19" sqref="D19"/>
    </sheetView>
  </sheetViews>
  <sheetFormatPr defaultColWidth="9" defaultRowHeight="15.75" x14ac:dyDescent="0.75"/>
  <cols>
    <col min="1" max="1" width="1.625" style="9" customWidth="1"/>
    <col min="2" max="2" width="22" style="9" bestFit="1" customWidth="1"/>
    <col min="3" max="3" width="6.375" style="66" customWidth="1"/>
    <col min="4" max="4" width="5.875" style="9" customWidth="1"/>
    <col min="5" max="5" width="2.625" style="9" customWidth="1"/>
    <col min="6" max="16384" width="9" style="9"/>
  </cols>
  <sheetData>
    <row r="3" spans="2:6" x14ac:dyDescent="0.75">
      <c r="B3" s="69" t="s">
        <v>2</v>
      </c>
      <c r="C3" s="70" t="s">
        <v>3</v>
      </c>
      <c r="D3" s="70" t="s">
        <v>3</v>
      </c>
    </row>
    <row r="4" spans="2:6" x14ac:dyDescent="0.75">
      <c r="B4" s="67" t="s">
        <v>1</v>
      </c>
      <c r="C4" s="68">
        <v>51</v>
      </c>
      <c r="D4" s="68">
        <v>51</v>
      </c>
    </row>
    <row r="5" spans="2:6" x14ac:dyDescent="0.75">
      <c r="B5" s="67" t="s">
        <v>4</v>
      </c>
      <c r="C5" s="68">
        <v>84.8</v>
      </c>
      <c r="D5" s="68">
        <v>84.8</v>
      </c>
    </row>
    <row r="6" spans="2:6" x14ac:dyDescent="0.75">
      <c r="B6" s="67" t="s">
        <v>5</v>
      </c>
      <c r="C6" s="68">
        <v>90</v>
      </c>
      <c r="D6" s="68">
        <v>90</v>
      </c>
    </row>
    <row r="7" spans="2:6" x14ac:dyDescent="0.75">
      <c r="B7" s="67" t="s">
        <v>6</v>
      </c>
      <c r="C7" s="68">
        <v>95</v>
      </c>
      <c r="D7" s="68">
        <v>95</v>
      </c>
    </row>
    <row r="8" spans="2:6" x14ac:dyDescent="0.75">
      <c r="B8" s="67" t="s">
        <v>7</v>
      </c>
      <c r="C8" s="68">
        <v>90.5</v>
      </c>
      <c r="D8" s="68">
        <v>90.5</v>
      </c>
    </row>
    <row r="9" spans="2:6" x14ac:dyDescent="0.75">
      <c r="B9" s="67" t="s">
        <v>8</v>
      </c>
      <c r="C9" s="68">
        <v>118.5</v>
      </c>
      <c r="D9" s="68">
        <v>120.5</v>
      </c>
    </row>
    <row r="10" spans="2:6" x14ac:dyDescent="0.75">
      <c r="B10" s="67" t="s">
        <v>10</v>
      </c>
      <c r="C10" s="68">
        <v>142</v>
      </c>
      <c r="D10" s="68">
        <v>142</v>
      </c>
    </row>
    <row r="11" spans="2:6" x14ac:dyDescent="0.75">
      <c r="B11" s="67" t="s">
        <v>11</v>
      </c>
      <c r="C11" s="68">
        <v>148</v>
      </c>
      <c r="D11" s="68">
        <v>148</v>
      </c>
    </row>
    <row r="12" spans="2:6" x14ac:dyDescent="0.75">
      <c r="B12" s="57"/>
      <c r="C12" s="65"/>
      <c r="D12" s="57"/>
    </row>
    <row r="13" spans="2:6" x14ac:dyDescent="0.75">
      <c r="F13" s="9" t="s">
        <v>23</v>
      </c>
    </row>
    <row r="14" spans="2:6" x14ac:dyDescent="0.75">
      <c r="F14" s="66" t="s">
        <v>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PA-30 Twin Comanche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dc:creator>
  <cp:lastModifiedBy>Kate Burrows</cp:lastModifiedBy>
  <dcterms:created xsi:type="dcterms:W3CDTF">2014-08-29T20:44:20Z</dcterms:created>
  <dcterms:modified xsi:type="dcterms:W3CDTF">2022-06-20T09:37:23Z</dcterms:modified>
</cp:coreProperties>
</file>